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3"/>
  <workbookPr/>
  <mc:AlternateContent xmlns:mc="http://schemas.openxmlformats.org/markup-compatibility/2006">
    <mc:Choice Requires="x15">
      <x15ac:absPath xmlns:x15ac="http://schemas.microsoft.com/office/spreadsheetml/2010/11/ac" url="/Users/kevinchiang/Documents/Teaching/BSAD 295/Excel folder/"/>
    </mc:Choice>
  </mc:AlternateContent>
  <xr:revisionPtr revIDLastSave="0" documentId="10_ncr:8100000_{B6754C44-6D7F-3246-8A13-2EF2E8C7A332}" xr6:coauthVersionLast="33" xr6:coauthVersionMax="33" xr10:uidLastSave="{00000000-0000-0000-0000-000000000000}"/>
  <bookViews>
    <workbookView xWindow="0" yWindow="460" windowWidth="33600" windowHeight="18780" tabRatio="500" xr2:uid="{00000000-000D-0000-FFFF-FFFF00000000}"/>
  </bookViews>
  <sheets>
    <sheet name="Sheet1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E13" i="1"/>
  <c r="E16" i="1" s="1"/>
  <c r="E31" i="1" s="1"/>
  <c r="E29" i="1"/>
  <c r="O35" i="1"/>
  <c r="S10" i="1"/>
  <c r="O36" i="1"/>
  <c r="R4" i="1"/>
  <c r="R3" i="1" s="1"/>
  <c r="H24" i="1"/>
  <c r="R9" i="1" s="1"/>
  <c r="I22" i="1"/>
  <c r="H23" i="1" s="1"/>
  <c r="H26" i="1" s="1"/>
  <c r="R8" i="1" s="1"/>
  <c r="J22" i="1"/>
  <c r="H22" i="1"/>
  <c r="D18" i="1"/>
  <c r="D11" i="1"/>
  <c r="D19" i="1"/>
  <c r="D27" i="1"/>
  <c r="B27" i="1"/>
  <c r="D28" i="1" s="1"/>
  <c r="E6" i="1"/>
  <c r="F6" i="1"/>
  <c r="G6" i="1"/>
  <c r="G29" i="1" s="1"/>
  <c r="H6" i="1"/>
  <c r="H13" i="1" s="1"/>
  <c r="H16" i="1" s="1"/>
  <c r="H31" i="1" s="1"/>
  <c r="I6" i="1"/>
  <c r="I29" i="1" s="1"/>
  <c r="J6" i="1"/>
  <c r="J29" i="1" s="1"/>
  <c r="J35" i="1" s="1"/>
  <c r="K6" i="1"/>
  <c r="L6" i="1" s="1"/>
  <c r="E38" i="1"/>
  <c r="F38" i="1"/>
  <c r="G38" i="1"/>
  <c r="H38" i="1"/>
  <c r="I38" i="1"/>
  <c r="J38" i="1" s="1"/>
  <c r="K38" i="1" s="1"/>
  <c r="L38" i="1" s="1"/>
  <c r="M38" i="1" s="1"/>
  <c r="N38" i="1" s="1"/>
  <c r="O38" i="1" s="1"/>
  <c r="D13" i="1"/>
  <c r="D14" i="1" s="1"/>
  <c r="D30" i="1"/>
  <c r="F29" i="1"/>
  <c r="F13" i="1"/>
  <c r="F16" i="1"/>
  <c r="F31" i="1"/>
  <c r="H29" i="1"/>
  <c r="J13" i="1"/>
  <c r="J16" i="1"/>
  <c r="D7" i="1"/>
  <c r="C27" i="1"/>
  <c r="L13" i="1" l="1"/>
  <c r="L16" i="1" s="1"/>
  <c r="M6" i="1"/>
  <c r="L29" i="1"/>
  <c r="L35" i="1" s="1"/>
  <c r="R10" i="1"/>
  <c r="D36" i="1" s="1"/>
  <c r="E36" i="1" s="1"/>
  <c r="F36" i="1" s="1"/>
  <c r="J31" i="1"/>
  <c r="I35" i="1"/>
  <c r="D29" i="1"/>
  <c r="D33" i="1" s="1"/>
  <c r="H35" i="1"/>
  <c r="D16" i="1"/>
  <c r="K13" i="1"/>
  <c r="K16" i="1" s="1"/>
  <c r="I13" i="1"/>
  <c r="I16" i="1" s="1"/>
  <c r="I31" i="1" s="1"/>
  <c r="K29" i="1"/>
  <c r="K35" i="1" s="1"/>
  <c r="G13" i="1"/>
  <c r="G16" i="1" s="1"/>
  <c r="G31" i="1" s="1"/>
  <c r="K31" i="1" l="1"/>
  <c r="G36" i="1"/>
  <c r="H36" i="1" s="1"/>
  <c r="F39" i="1"/>
  <c r="D31" i="1"/>
  <c r="D39" i="1" s="1"/>
  <c r="E39" i="1"/>
  <c r="M13" i="1"/>
  <c r="M16" i="1" s="1"/>
  <c r="M29" i="1"/>
  <c r="M35" i="1" s="1"/>
  <c r="N6" i="1"/>
  <c r="L31" i="1"/>
  <c r="I36" i="1" l="1"/>
  <c r="H39" i="1"/>
  <c r="O6" i="1"/>
  <c r="N29" i="1"/>
  <c r="N13" i="1"/>
  <c r="N16" i="1" s="1"/>
  <c r="M31" i="1"/>
  <c r="G39" i="1"/>
  <c r="N31" i="1" l="1"/>
  <c r="O16" i="1"/>
  <c r="N35" i="1"/>
  <c r="J36" i="1"/>
  <c r="I39" i="1"/>
  <c r="K36" i="1" l="1"/>
  <c r="J39" i="1"/>
  <c r="O29" i="1"/>
  <c r="O33" i="1" s="1"/>
  <c r="O31" i="1" l="1"/>
  <c r="O37" i="1" s="1"/>
  <c r="O39" i="1" s="1"/>
  <c r="L36" i="1"/>
  <c r="K39" i="1"/>
  <c r="M36" i="1" l="1"/>
  <c r="L39" i="1"/>
  <c r="N36" i="1" l="1"/>
  <c r="N39" i="1" s="1"/>
  <c r="M39" i="1"/>
  <c r="S19" i="1" s="1"/>
  <c r="S23" i="1" s="1"/>
  <c r="S25" i="1" s="1"/>
  <c r="S27" i="1" s="1"/>
</calcChain>
</file>

<file path=xl/sharedStrings.xml><?xml version="1.0" encoding="utf-8"?>
<sst xmlns="http://schemas.openxmlformats.org/spreadsheetml/2006/main" count="94" uniqueCount="88">
  <si>
    <t>Sales</t>
  </si>
  <si>
    <t>R&amp;D</t>
  </si>
  <si>
    <t>EBIT</t>
  </si>
  <si>
    <t>Plus: R&amp;D Expense</t>
  </si>
  <si>
    <t>Less: R&amp;D Amortization</t>
  </si>
  <si>
    <t>Adjusted EBIT</t>
  </si>
  <si>
    <t>Taxes</t>
  </si>
  <si>
    <t>Adjusted EBIAT</t>
  </si>
  <si>
    <t>Fixed Assets</t>
  </si>
  <si>
    <t>Capex</t>
  </si>
  <si>
    <t>A/R</t>
  </si>
  <si>
    <t>Inventory</t>
  </si>
  <si>
    <t>Other Current Assets</t>
  </si>
  <si>
    <t>A/P</t>
  </si>
  <si>
    <t>Accruals</t>
  </si>
  <si>
    <t>Other Current Liabilities</t>
  </si>
  <si>
    <t>NWC</t>
  </si>
  <si>
    <t>Changes in NWC</t>
  </si>
  <si>
    <t>Reinvestment</t>
  </si>
  <si>
    <t>FCFF</t>
  </si>
  <si>
    <t>E2014</t>
  </si>
  <si>
    <t>E2015</t>
  </si>
  <si>
    <t>E2016</t>
  </si>
  <si>
    <t>E2017</t>
  </si>
  <si>
    <t>E2018</t>
  </si>
  <si>
    <t>E2019</t>
  </si>
  <si>
    <t>E2020</t>
  </si>
  <si>
    <t>E2021</t>
  </si>
  <si>
    <t>E2022</t>
  </si>
  <si>
    <t>E2013</t>
  </si>
  <si>
    <t>Trailing 2013</t>
  </si>
  <si>
    <t>$ in millions</t>
  </si>
  <si>
    <t>Q4-Q3</t>
  </si>
  <si>
    <t>Depreciation &amp; Amortization</t>
  </si>
  <si>
    <t>% Margin</t>
  </si>
  <si>
    <t>% Growth</t>
  </si>
  <si>
    <t>Stable Growth Rate</t>
  </si>
  <si>
    <t>Return on Capital</t>
  </si>
  <si>
    <t>Reinvestment Rate</t>
  </si>
  <si>
    <t>Reinvestment/Sales</t>
  </si>
  <si>
    <t>WACC</t>
  </si>
  <si>
    <t>Discount Period</t>
  </si>
  <si>
    <t>Terminal Value</t>
  </si>
  <si>
    <t>PV</t>
  </si>
  <si>
    <t>EV</t>
  </si>
  <si>
    <t>Plus: Cash</t>
  </si>
  <si>
    <t>Plus: IPO Proceeds</t>
  </si>
  <si>
    <t>Less: MV Debt</t>
  </si>
  <si>
    <t>Equity Value</t>
  </si>
  <si>
    <t>Less: MV Options</t>
  </si>
  <si>
    <t>Value in Stock</t>
  </si>
  <si>
    <t>Share Value</t>
  </si>
  <si>
    <t>Oct. 24 S-1/A</t>
  </si>
  <si>
    <t>$17-20</t>
  </si>
  <si>
    <t>Nov. 04 S-1/A</t>
  </si>
  <si>
    <t>$23-25</t>
  </si>
  <si>
    <t>Nov. 07 424B4</t>
  </si>
  <si>
    <t>Actual IPO Price Discovery</t>
  </si>
  <si>
    <t>After 1st Trading Day</t>
  </si>
  <si>
    <t>Market Update</t>
  </si>
  <si>
    <t>Twitter IPO Valuation: Oct. 24, 2013</t>
  </si>
  <si>
    <t>Actual Firm Performance</t>
  </si>
  <si>
    <t>2017 Sales</t>
  </si>
  <si>
    <t>Mid-Year Convention</t>
  </si>
  <si>
    <t>R&amp;D Expense - Amortization</t>
  </si>
  <si>
    <t>Projection Period</t>
  </si>
  <si>
    <t>Steady State</t>
  </si>
  <si>
    <t>Beta</t>
  </si>
  <si>
    <t>Tax Rate</t>
  </si>
  <si>
    <t>Debt/Equity</t>
  </si>
  <si>
    <t>Unlevered Beta</t>
  </si>
  <si>
    <t>Average</t>
  </si>
  <si>
    <t>Twitter Tax Rate</t>
  </si>
  <si>
    <t>Twitter D/E</t>
  </si>
  <si>
    <t>Twitter Beta</t>
  </si>
  <si>
    <t>Facebook</t>
  </si>
  <si>
    <t>Google</t>
  </si>
  <si>
    <t>Baidu</t>
  </si>
  <si>
    <t>Euity Weight</t>
  </si>
  <si>
    <t>Debt Weight</t>
  </si>
  <si>
    <t>Risk-Free Rate</t>
  </si>
  <si>
    <t>Default Spread</t>
  </si>
  <si>
    <t>Market Risk Premium</t>
  </si>
  <si>
    <t># Shares</t>
  </si>
  <si>
    <t>Stock-Based Compensation (SBC)</t>
  </si>
  <si>
    <t>Plus: Historically Expensed SBC</t>
  </si>
  <si>
    <t>Smoothing</t>
  </si>
  <si>
    <t>Anchor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</si>
</sst>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2" applyFont="1" applyAlignment="1">
      <alignment horizontal="center"/>
    </xf>
    <xf numFmtId="164" fontId="0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1" applyNumberFormat="1" applyFont="1" applyAlignment="1">
      <alignment horizontal="center"/>
    </xf>
    <xf numFmtId="165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Font="1" applyFill="1"/>
    <xf numFmtId="164" fontId="0" fillId="0" borderId="0" xfId="2" applyNumberFormat="1" applyFont="1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10" fontId="0" fillId="0" borderId="0" xfId="2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9" fontId="0" fillId="4" borderId="0" xfId="2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9" fontId="0" fillId="4" borderId="0" xfId="0" applyNumberFormat="1" applyFill="1" applyBorder="1" applyAlignment="1">
      <alignment horizontal="center"/>
    </xf>
    <xf numFmtId="9" fontId="0" fillId="4" borderId="5" xfId="0" applyNumberFormat="1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0" xfId="0" applyFill="1" applyAlignment="1">
      <alignment horizontal="center"/>
    </xf>
  </cellXfs>
  <cellStyles count="19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A7" zoomScale="130" zoomScaleNormal="130" workbookViewId="0">
      <selection activeCell="C33" sqref="C33"/>
    </sheetView>
  </sheetViews>
  <sheetFormatPr baseColWidth="10" defaultRowHeight="16" x14ac:dyDescent="0.2"/>
  <cols>
    <col min="1" max="1" width="28.5" customWidth="1"/>
    <col min="5" max="5" width="12.6640625" customWidth="1"/>
    <col min="15" max="15" width="12.1640625" bestFit="1" customWidth="1"/>
    <col min="16" max="16" width="3.1640625" customWidth="1"/>
    <col min="17" max="17" width="17.83203125" customWidth="1"/>
    <col min="18" max="18" width="18.83203125" customWidth="1"/>
    <col min="19" max="19" width="17.83203125" customWidth="1"/>
  </cols>
  <sheetData>
    <row r="1" spans="1:19" x14ac:dyDescent="0.2">
      <c r="F1" s="47" t="s">
        <v>60</v>
      </c>
      <c r="G1" s="47"/>
      <c r="H1" s="47"/>
      <c r="I1" s="47"/>
    </row>
    <row r="2" spans="1:19" x14ac:dyDescent="0.2">
      <c r="A2" t="s">
        <v>31</v>
      </c>
      <c r="K2" s="1"/>
      <c r="Q2" s="29"/>
      <c r="R2" s="35" t="s">
        <v>65</v>
      </c>
      <c r="S2" s="30" t="s">
        <v>66</v>
      </c>
    </row>
    <row r="3" spans="1:19" x14ac:dyDescent="0.2">
      <c r="A3" t="s">
        <v>63</v>
      </c>
      <c r="D3" s="54" t="s">
        <v>65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9" t="s">
        <v>66</v>
      </c>
      <c r="P3" s="27"/>
      <c r="Q3" s="29" t="s">
        <v>78</v>
      </c>
      <c r="R3" s="24">
        <f>1-R4</f>
        <v>0.73529411764705888</v>
      </c>
      <c r="S3" s="40">
        <v>0.6</v>
      </c>
    </row>
    <row r="4" spans="1:19" x14ac:dyDescent="0.2">
      <c r="C4" s="1" t="s">
        <v>32</v>
      </c>
      <c r="Q4" s="29" t="s">
        <v>79</v>
      </c>
      <c r="R4" s="24">
        <f>H25/(1+H25)</f>
        <v>0.26470588235294118</v>
      </c>
      <c r="S4" s="40">
        <v>0.4</v>
      </c>
    </row>
    <row r="5" spans="1:19" x14ac:dyDescent="0.2">
      <c r="B5" s="1">
        <v>2012</v>
      </c>
      <c r="C5" s="1" t="s">
        <v>30</v>
      </c>
      <c r="D5" s="1" t="s">
        <v>29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Q5" s="31" t="s">
        <v>80</v>
      </c>
      <c r="R5" s="44">
        <v>2.75E-2</v>
      </c>
      <c r="S5" s="42">
        <v>0.04</v>
      </c>
    </row>
    <row r="6" spans="1:19" x14ac:dyDescent="0.2">
      <c r="A6" t="s">
        <v>0</v>
      </c>
      <c r="B6" s="36">
        <v>316.89999999999998</v>
      </c>
      <c r="C6" s="36">
        <v>534.4</v>
      </c>
      <c r="D6" s="36">
        <v>660</v>
      </c>
      <c r="E6" s="1">
        <f>D6*(1+E7)</f>
        <v>1023</v>
      </c>
      <c r="F6" s="1">
        <f t="shared" ref="F6:N6" si="0">E6*(1+F7)</f>
        <v>1534.5</v>
      </c>
      <c r="G6" s="20">
        <f t="shared" si="0"/>
        <v>2225.0250000000001</v>
      </c>
      <c r="H6" s="20">
        <f t="shared" si="0"/>
        <v>3115.0349999999999</v>
      </c>
      <c r="I6" s="20">
        <f t="shared" si="0"/>
        <v>4205.2972500000005</v>
      </c>
      <c r="J6" s="20">
        <f t="shared" si="0"/>
        <v>5466.8864250000006</v>
      </c>
      <c r="K6" s="20">
        <f t="shared" si="0"/>
        <v>6833.6080312500007</v>
      </c>
      <c r="L6" s="20">
        <f t="shared" si="0"/>
        <v>8200.3296375000009</v>
      </c>
      <c r="M6" s="20">
        <f t="shared" si="0"/>
        <v>9430.3790831250008</v>
      </c>
      <c r="N6" s="20">
        <f t="shared" si="0"/>
        <v>10373.416991437502</v>
      </c>
      <c r="O6" s="20">
        <f>N6*(1+O32)</f>
        <v>10663.872667197751</v>
      </c>
      <c r="Q6" s="29" t="s">
        <v>81</v>
      </c>
      <c r="R6" s="44">
        <v>5.5E-2</v>
      </c>
      <c r="S6" s="42">
        <v>2.5000000000000001E-2</v>
      </c>
    </row>
    <row r="7" spans="1:19" x14ac:dyDescent="0.2">
      <c r="A7" s="3" t="s">
        <v>35</v>
      </c>
      <c r="B7" s="1"/>
      <c r="C7" s="1"/>
      <c r="D7" s="4">
        <f>(D6/B6)-1</f>
        <v>1.0826759230041025</v>
      </c>
      <c r="E7" s="37">
        <v>0.55000000000000004</v>
      </c>
      <c r="F7" s="37">
        <v>0.5</v>
      </c>
      <c r="G7" s="37">
        <v>0.45</v>
      </c>
      <c r="H7" s="37">
        <v>0.4</v>
      </c>
      <c r="I7" s="37">
        <v>0.35</v>
      </c>
      <c r="J7" s="37">
        <v>0.3</v>
      </c>
      <c r="K7" s="37">
        <v>0.25</v>
      </c>
      <c r="L7" s="37">
        <v>0.2</v>
      </c>
      <c r="M7" s="37">
        <v>0.15</v>
      </c>
      <c r="N7" s="38">
        <v>0.1</v>
      </c>
      <c r="Q7" s="29" t="s">
        <v>82</v>
      </c>
      <c r="R7" s="42">
        <v>0.05</v>
      </c>
      <c r="S7" s="44">
        <v>6.5000000000000002E-2</v>
      </c>
    </row>
    <row r="8" spans="1:19" x14ac:dyDescent="0.2">
      <c r="A8" t="s">
        <v>1</v>
      </c>
      <c r="B8" s="36">
        <v>119</v>
      </c>
      <c r="C8" s="36">
        <v>239.4</v>
      </c>
      <c r="D8" s="36">
        <v>350</v>
      </c>
      <c r="E8" s="1"/>
      <c r="F8" s="1"/>
      <c r="G8" s="1"/>
      <c r="H8" s="1"/>
      <c r="I8" s="1"/>
      <c r="J8" s="1"/>
      <c r="K8" s="1"/>
      <c r="L8" s="1"/>
      <c r="M8" s="1"/>
      <c r="N8" s="1"/>
      <c r="Q8" s="29" t="s">
        <v>67</v>
      </c>
      <c r="R8" s="25">
        <f>H26</f>
        <v>1.6004153345456402</v>
      </c>
      <c r="S8" s="40">
        <v>1.1000000000000001</v>
      </c>
    </row>
    <row r="9" spans="1:19" x14ac:dyDescent="0.2">
      <c r="A9" t="s">
        <v>84</v>
      </c>
      <c r="B9" s="36">
        <v>25.7</v>
      </c>
      <c r="C9" s="36">
        <v>79.2</v>
      </c>
      <c r="D9" s="36">
        <v>100</v>
      </c>
      <c r="E9" s="1"/>
      <c r="F9" s="1"/>
      <c r="G9" s="1"/>
      <c r="H9" s="1"/>
      <c r="I9" s="1"/>
      <c r="J9" s="1"/>
      <c r="K9" s="1"/>
      <c r="L9" s="1"/>
      <c r="M9" s="1"/>
      <c r="N9" s="1"/>
      <c r="Q9" s="29" t="s">
        <v>68</v>
      </c>
      <c r="R9" s="28">
        <f>H24</f>
        <v>0.17499999999999999</v>
      </c>
      <c r="S9" s="42">
        <v>0.35</v>
      </c>
    </row>
    <row r="10" spans="1:19" x14ac:dyDescent="0.2">
      <c r="A10" t="s">
        <v>2</v>
      </c>
      <c r="B10" s="36">
        <v>-77.099999999999994</v>
      </c>
      <c r="C10" s="36">
        <v>-134.9</v>
      </c>
      <c r="D10" s="36">
        <v>-350</v>
      </c>
      <c r="E10" s="1"/>
      <c r="F10" s="1"/>
      <c r="G10" s="1"/>
      <c r="H10" s="1"/>
      <c r="I10" s="1"/>
      <c r="J10" s="1"/>
      <c r="K10" s="1"/>
      <c r="L10" s="1"/>
      <c r="M10" s="1"/>
      <c r="N10" s="1"/>
      <c r="Q10" s="29" t="s">
        <v>40</v>
      </c>
      <c r="R10" s="32">
        <f>R3*(R5+R8*R7)+R4*(R5+R6)*(1-R9)</f>
        <v>9.7075931417119135E-2</v>
      </c>
      <c r="S10" s="32">
        <f>S3*(S5+S8*S7)+S4*(S5+S6)*(1-S9)</f>
        <v>8.3799999999999999E-2</v>
      </c>
    </row>
    <row r="11" spans="1:19" x14ac:dyDescent="0.2">
      <c r="A11" t="s">
        <v>3</v>
      </c>
      <c r="B11" s="1"/>
      <c r="C11" s="1"/>
      <c r="D11" s="1">
        <f>D8</f>
        <v>350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9" x14ac:dyDescent="0.2">
      <c r="A12" t="s">
        <v>4</v>
      </c>
      <c r="B12" s="1"/>
      <c r="C12" s="1"/>
      <c r="D12" s="1">
        <f>(D8+B8)/2</f>
        <v>234.5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9" x14ac:dyDescent="0.2">
      <c r="A13" t="s">
        <v>5</v>
      </c>
      <c r="B13" s="1"/>
      <c r="C13" s="1"/>
      <c r="D13" s="1">
        <f>D10+D11-D12</f>
        <v>-234.5</v>
      </c>
      <c r="E13" s="1">
        <f>E6*E14</f>
        <v>-204.60000000000002</v>
      </c>
      <c r="F13" s="1">
        <f t="shared" ref="F13:N13" si="1">F6*F14</f>
        <v>-153.45000000000002</v>
      </c>
      <c r="G13" s="1">
        <f t="shared" si="1"/>
        <v>0</v>
      </c>
      <c r="H13" s="20">
        <f>H6*H14</f>
        <v>124.6014</v>
      </c>
      <c r="I13" s="20">
        <f t="shared" si="1"/>
        <v>336.42378000000002</v>
      </c>
      <c r="J13" s="20">
        <f t="shared" si="1"/>
        <v>656.02637100000004</v>
      </c>
      <c r="K13" s="20">
        <f t="shared" si="1"/>
        <v>1093.3772850000003</v>
      </c>
      <c r="L13" s="20">
        <f t="shared" si="1"/>
        <v>1640.0659275000003</v>
      </c>
      <c r="M13" s="20">
        <f t="shared" si="1"/>
        <v>2263.2909799500003</v>
      </c>
      <c r="N13" s="20">
        <f t="shared" si="1"/>
        <v>2489.6200779450005</v>
      </c>
    </row>
    <row r="14" spans="1:19" x14ac:dyDescent="0.2">
      <c r="A14" s="3" t="s">
        <v>34</v>
      </c>
      <c r="B14" s="1"/>
      <c r="C14" s="1"/>
      <c r="D14" s="4">
        <f>D13/D6</f>
        <v>-0.35530303030303029</v>
      </c>
      <c r="E14" s="37">
        <v>-0.2</v>
      </c>
      <c r="F14" s="37">
        <v>-0.1</v>
      </c>
      <c r="G14" s="37">
        <v>0</v>
      </c>
      <c r="H14" s="37">
        <v>0.04</v>
      </c>
      <c r="I14" s="37">
        <v>0.08</v>
      </c>
      <c r="J14" s="37">
        <v>0.12</v>
      </c>
      <c r="K14" s="37">
        <v>0.16</v>
      </c>
      <c r="L14" s="37">
        <v>0.2</v>
      </c>
      <c r="M14" s="37">
        <v>0.24</v>
      </c>
      <c r="N14" s="37">
        <v>0.24</v>
      </c>
    </row>
    <row r="15" spans="1:19" x14ac:dyDescent="0.2">
      <c r="A15" t="s">
        <v>6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7">
        <v>0.05</v>
      </c>
      <c r="I15" s="37">
        <v>0.1</v>
      </c>
      <c r="J15" s="37">
        <v>0.2</v>
      </c>
      <c r="K15" s="37">
        <v>0.35</v>
      </c>
      <c r="L15" s="37">
        <v>0.35</v>
      </c>
      <c r="M15" s="37">
        <v>0.35</v>
      </c>
      <c r="N15" s="37">
        <v>0.35</v>
      </c>
    </row>
    <row r="16" spans="1:19" x14ac:dyDescent="0.2">
      <c r="A16" t="s">
        <v>7</v>
      </c>
      <c r="B16" s="1"/>
      <c r="C16" s="1"/>
      <c r="D16" s="1">
        <f>D13*(1-D15)</f>
        <v>-234.5</v>
      </c>
      <c r="E16" s="1">
        <f>E13*(1-E15)</f>
        <v>-204.60000000000002</v>
      </c>
      <c r="F16" s="1">
        <f t="shared" ref="F16:N16" si="2">F13*(1-F15)</f>
        <v>-153.45000000000002</v>
      </c>
      <c r="G16" s="1">
        <f t="shared" si="2"/>
        <v>0</v>
      </c>
      <c r="H16" s="20">
        <f t="shared" si="2"/>
        <v>118.37132999999999</v>
      </c>
      <c r="I16" s="20">
        <f t="shared" si="2"/>
        <v>302.78140200000001</v>
      </c>
      <c r="J16" s="20">
        <f t="shared" si="2"/>
        <v>524.82109680000008</v>
      </c>
      <c r="K16" s="20">
        <f t="shared" si="2"/>
        <v>710.69523525000022</v>
      </c>
      <c r="L16" s="20">
        <f t="shared" si="2"/>
        <v>1066.0428528750001</v>
      </c>
      <c r="M16" s="20">
        <f t="shared" si="2"/>
        <v>1471.1391369675002</v>
      </c>
      <c r="N16" s="20">
        <f t="shared" si="2"/>
        <v>1618.2530506642504</v>
      </c>
      <c r="O16" s="20">
        <f>N16*(1+O32)</f>
        <v>1663.5641360828495</v>
      </c>
      <c r="P16" s="20"/>
      <c r="Q16" s="8"/>
    </row>
    <row r="17" spans="1:19" x14ac:dyDescent="0.2">
      <c r="A17" t="s">
        <v>8</v>
      </c>
      <c r="B17" s="36">
        <v>258.8</v>
      </c>
      <c r="C17" s="36">
        <v>423.5</v>
      </c>
      <c r="D17" s="36">
        <v>550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9" x14ac:dyDescent="0.2">
      <c r="A18" t="s">
        <v>9</v>
      </c>
      <c r="B18" s="1"/>
      <c r="C18" s="1"/>
      <c r="D18" s="1">
        <f>D17-C17</f>
        <v>126.5</v>
      </c>
      <c r="E18" s="1"/>
      <c r="F18" s="10"/>
      <c r="G18" s="11"/>
      <c r="H18" s="11" t="s">
        <v>75</v>
      </c>
      <c r="I18" s="11" t="s">
        <v>76</v>
      </c>
      <c r="J18" s="12" t="s">
        <v>77</v>
      </c>
      <c r="K18" s="1"/>
      <c r="L18" s="1"/>
      <c r="M18" s="1"/>
      <c r="N18" s="1"/>
    </row>
    <row r="19" spans="1:19" x14ac:dyDescent="0.2">
      <c r="A19" t="s">
        <v>64</v>
      </c>
      <c r="B19" s="2"/>
      <c r="C19" s="2"/>
      <c r="D19" s="2">
        <f>D11-D12</f>
        <v>115.5</v>
      </c>
      <c r="E19" s="2"/>
      <c r="F19" s="50" t="s">
        <v>67</v>
      </c>
      <c r="G19" s="51"/>
      <c r="H19" s="40">
        <v>1.47</v>
      </c>
      <c r="I19" s="40">
        <v>1.21</v>
      </c>
      <c r="J19" s="41">
        <v>1.8</v>
      </c>
      <c r="K19" s="2"/>
      <c r="L19" s="2"/>
      <c r="M19" s="2"/>
      <c r="N19" s="2"/>
      <c r="R19" s="17" t="s">
        <v>44</v>
      </c>
      <c r="S19" s="12">
        <f>SUM(D39:O39)</f>
        <v>9978.8709353614486</v>
      </c>
    </row>
    <row r="20" spans="1:19" x14ac:dyDescent="0.2">
      <c r="A20" t="s">
        <v>33</v>
      </c>
      <c r="B20" s="36">
        <v>72.5</v>
      </c>
      <c r="C20" s="36">
        <v>77.7</v>
      </c>
      <c r="D20" s="36">
        <v>80</v>
      </c>
      <c r="E20" s="1"/>
      <c r="F20" s="50" t="s">
        <v>68</v>
      </c>
      <c r="G20" s="51"/>
      <c r="H20" s="42">
        <v>0.4</v>
      </c>
      <c r="I20" s="42">
        <v>0.21</v>
      </c>
      <c r="J20" s="43">
        <v>0.16</v>
      </c>
      <c r="K20" s="1"/>
      <c r="L20" s="1"/>
      <c r="M20" s="1"/>
      <c r="N20" s="1"/>
      <c r="R20" s="18" t="s">
        <v>45</v>
      </c>
      <c r="S20" s="41">
        <v>375</v>
      </c>
    </row>
    <row r="21" spans="1:19" x14ac:dyDescent="0.2">
      <c r="A21" t="s">
        <v>10</v>
      </c>
      <c r="B21" s="36">
        <v>112</v>
      </c>
      <c r="C21" s="36">
        <v>198</v>
      </c>
      <c r="D21" s="36">
        <v>240</v>
      </c>
      <c r="E21" s="1"/>
      <c r="F21" s="50" t="s">
        <v>69</v>
      </c>
      <c r="G21" s="51"/>
      <c r="H21" s="42">
        <v>0.01</v>
      </c>
      <c r="I21" s="42">
        <v>0.05</v>
      </c>
      <c r="J21" s="43">
        <v>0.8</v>
      </c>
      <c r="K21" s="1"/>
      <c r="L21" s="1"/>
      <c r="M21" s="1"/>
      <c r="N21" s="1"/>
      <c r="R21" s="18" t="s">
        <v>46</v>
      </c>
      <c r="S21" s="45">
        <v>1760</v>
      </c>
    </row>
    <row r="22" spans="1:19" x14ac:dyDescent="0.2">
      <c r="A22" t="s">
        <v>11</v>
      </c>
      <c r="B22" s="36">
        <v>0</v>
      </c>
      <c r="C22" s="36">
        <v>0</v>
      </c>
      <c r="D22" s="36">
        <v>0</v>
      </c>
      <c r="E22" s="1"/>
      <c r="F22" s="50" t="s">
        <v>70</v>
      </c>
      <c r="G22" s="51"/>
      <c r="H22" s="25">
        <f>H19/(1+(1-H20)*H21)</f>
        <v>1.4612326043737573</v>
      </c>
      <c r="I22" s="25">
        <f t="shared" ref="I22:J22" si="3">I19/(1+(1-I20)*I21)</f>
        <v>1.164021164021164</v>
      </c>
      <c r="J22" s="22">
        <f t="shared" si="3"/>
        <v>1.0765550239234449</v>
      </c>
      <c r="K22" s="1"/>
      <c r="L22" s="1"/>
      <c r="M22" s="1"/>
      <c r="N22" s="1"/>
      <c r="R22" s="18" t="s">
        <v>47</v>
      </c>
      <c r="S22" s="41">
        <v>200</v>
      </c>
    </row>
    <row r="23" spans="1:19" x14ac:dyDescent="0.2">
      <c r="A23" t="s">
        <v>12</v>
      </c>
      <c r="B23" s="36">
        <v>17.5</v>
      </c>
      <c r="C23" s="36">
        <v>29.5</v>
      </c>
      <c r="D23" s="36">
        <v>40</v>
      </c>
      <c r="E23" s="1"/>
      <c r="F23" s="50" t="s">
        <v>71</v>
      </c>
      <c r="G23" s="51"/>
      <c r="H23" s="25">
        <f>AVERAGE(H22:J22)</f>
        <v>1.233936264106122</v>
      </c>
      <c r="I23" s="13"/>
      <c r="J23" s="14"/>
      <c r="K23" s="1"/>
      <c r="L23" s="1"/>
      <c r="M23" s="1"/>
      <c r="N23" s="1"/>
      <c r="R23" s="18" t="s">
        <v>48</v>
      </c>
      <c r="S23" s="22">
        <f>S19+S20+S21-S22</f>
        <v>11913.870935361449</v>
      </c>
    </row>
    <row r="24" spans="1:19" x14ac:dyDescent="0.2">
      <c r="A24" t="s">
        <v>13</v>
      </c>
      <c r="B24" s="36">
        <v>8.4</v>
      </c>
      <c r="C24" s="36">
        <v>9.4</v>
      </c>
      <c r="D24" s="36">
        <v>10</v>
      </c>
      <c r="E24" s="1"/>
      <c r="F24" s="50" t="s">
        <v>72</v>
      </c>
      <c r="G24" s="51"/>
      <c r="H24" s="13">
        <f>AVERAGE(E15:N15)</f>
        <v>0.17499999999999999</v>
      </c>
      <c r="I24" s="13"/>
      <c r="J24" s="14"/>
      <c r="K24" s="1"/>
      <c r="L24" s="1"/>
      <c r="M24" s="1"/>
      <c r="N24" s="1"/>
      <c r="R24" s="18" t="s">
        <v>49</v>
      </c>
      <c r="S24" s="41">
        <v>800</v>
      </c>
    </row>
    <row r="25" spans="1:19" x14ac:dyDescent="0.2">
      <c r="A25" t="s">
        <v>14</v>
      </c>
      <c r="B25" s="36">
        <v>52.6</v>
      </c>
      <c r="C25" s="36">
        <v>86</v>
      </c>
      <c r="D25" s="36">
        <v>100</v>
      </c>
      <c r="E25" s="1"/>
      <c r="F25" s="50" t="s">
        <v>73</v>
      </c>
      <c r="G25" s="51"/>
      <c r="H25" s="42">
        <v>0.36</v>
      </c>
      <c r="I25" s="13"/>
      <c r="J25" s="14"/>
      <c r="K25" s="1"/>
      <c r="L25" s="1"/>
      <c r="M25" s="1"/>
      <c r="N25" s="1"/>
      <c r="R25" s="18" t="s">
        <v>50</v>
      </c>
      <c r="S25" s="22">
        <f>S23-S24</f>
        <v>11113.870935361449</v>
      </c>
    </row>
    <row r="26" spans="1:19" x14ac:dyDescent="0.2">
      <c r="A26" t="s">
        <v>15</v>
      </c>
      <c r="B26" s="36">
        <v>48.8</v>
      </c>
      <c r="C26" s="36">
        <v>70.8</v>
      </c>
      <c r="D26" s="36">
        <v>90</v>
      </c>
      <c r="E26" s="1"/>
      <c r="F26" s="52" t="s">
        <v>74</v>
      </c>
      <c r="G26" s="53"/>
      <c r="H26" s="26">
        <f>H23*(1+(1-H24)*H25)</f>
        <v>1.6004153345456402</v>
      </c>
      <c r="I26" s="15"/>
      <c r="J26" s="16"/>
      <c r="K26" s="1"/>
      <c r="L26" s="1"/>
      <c r="M26" s="1"/>
      <c r="N26" s="1"/>
      <c r="R26" s="18" t="s">
        <v>83</v>
      </c>
      <c r="S26" s="41">
        <v>574</v>
      </c>
    </row>
    <row r="27" spans="1:19" x14ac:dyDescent="0.2">
      <c r="A27" t="s">
        <v>16</v>
      </c>
      <c r="B27" s="1">
        <f>B21+B22+B23-B24-B25-B26</f>
        <v>19.700000000000003</v>
      </c>
      <c r="C27" s="1">
        <f t="shared" ref="C27:D27" si="4">C21+C22+C23-C24-C25-C26</f>
        <v>61.3</v>
      </c>
      <c r="D27" s="1">
        <f t="shared" si="4"/>
        <v>80</v>
      </c>
      <c r="E27" s="1"/>
      <c r="F27" s="1"/>
      <c r="G27" s="1"/>
      <c r="H27" s="1"/>
      <c r="I27" s="1"/>
      <c r="J27" s="1"/>
      <c r="K27" s="1"/>
      <c r="L27" s="1"/>
      <c r="M27" s="1"/>
      <c r="N27" s="1"/>
      <c r="R27" s="19" t="s">
        <v>51</v>
      </c>
      <c r="S27" s="21">
        <f>S25/S26</f>
        <v>19.362144486692419</v>
      </c>
    </row>
    <row r="28" spans="1:19" x14ac:dyDescent="0.2">
      <c r="A28" t="s">
        <v>17</v>
      </c>
      <c r="B28" s="1"/>
      <c r="C28" s="1"/>
      <c r="D28" s="1">
        <f>D27-B27</f>
        <v>60.3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9" x14ac:dyDescent="0.2">
      <c r="A29" t="s">
        <v>18</v>
      </c>
      <c r="B29" s="1"/>
      <c r="C29" s="1"/>
      <c r="D29" s="1">
        <f>D18+D19+D28-D20</f>
        <v>222.3</v>
      </c>
      <c r="E29" s="1">
        <f>E6*E33</f>
        <v>204.60000000000002</v>
      </c>
      <c r="F29" s="1">
        <f t="shared" ref="F29:N29" si="5">F6*F33</f>
        <v>276.20999999999998</v>
      </c>
      <c r="G29" s="20">
        <f t="shared" si="5"/>
        <v>356.00400000000002</v>
      </c>
      <c r="H29" s="20">
        <f t="shared" si="5"/>
        <v>436.10490000000004</v>
      </c>
      <c r="I29" s="20">
        <f t="shared" si="5"/>
        <v>504.63567000000006</v>
      </c>
      <c r="J29" s="20">
        <f t="shared" si="5"/>
        <v>546.68864250000013</v>
      </c>
      <c r="K29" s="20">
        <f t="shared" si="5"/>
        <v>546.68864250000013</v>
      </c>
      <c r="L29" s="20">
        <f t="shared" si="5"/>
        <v>492.01977825000006</v>
      </c>
      <c r="M29" s="20">
        <f t="shared" si="5"/>
        <v>377.21516332500005</v>
      </c>
      <c r="N29" s="20">
        <f t="shared" si="5"/>
        <v>373.44301169175003</v>
      </c>
      <c r="O29" s="20">
        <f>O16*O35</f>
        <v>388.16496508599823</v>
      </c>
      <c r="P29" s="20"/>
      <c r="Q29" s="8"/>
      <c r="R29" s="49" t="s">
        <v>59</v>
      </c>
      <c r="S29" s="49"/>
    </row>
    <row r="30" spans="1:19" x14ac:dyDescent="0.2">
      <c r="A30" t="s">
        <v>85</v>
      </c>
      <c r="B30" s="1"/>
      <c r="C30" s="1"/>
      <c r="D30" s="1">
        <f>D9</f>
        <v>100</v>
      </c>
      <c r="E30" s="1"/>
      <c r="F30" s="1"/>
      <c r="G30" s="1"/>
      <c r="H30" s="1"/>
      <c r="I30" s="1"/>
      <c r="J30" s="1"/>
      <c r="K30" s="1"/>
      <c r="L30" s="1"/>
      <c r="M30" s="1"/>
      <c r="N30" s="1"/>
      <c r="R30" s="29"/>
      <c r="S30" s="29"/>
    </row>
    <row r="31" spans="1:19" x14ac:dyDescent="0.2">
      <c r="A31" t="s">
        <v>19</v>
      </c>
      <c r="B31" s="1"/>
      <c r="C31" s="1"/>
      <c r="D31" s="1">
        <f>D16-D29+D30</f>
        <v>-356.8</v>
      </c>
      <c r="E31" s="1">
        <f>E16-E29</f>
        <v>-409.20000000000005</v>
      </c>
      <c r="F31" s="1">
        <f t="shared" ref="F31:N31" si="6">F16-F29</f>
        <v>-429.65999999999997</v>
      </c>
      <c r="G31" s="20">
        <f t="shared" si="6"/>
        <v>-356.00400000000002</v>
      </c>
      <c r="H31" s="20">
        <f t="shared" si="6"/>
        <v>-317.73357000000004</v>
      </c>
      <c r="I31" s="20">
        <f t="shared" si="6"/>
        <v>-201.85426800000005</v>
      </c>
      <c r="J31" s="20">
        <f t="shared" si="6"/>
        <v>-21.867545700000051</v>
      </c>
      <c r="K31" s="20">
        <f t="shared" si="6"/>
        <v>164.0065927500001</v>
      </c>
      <c r="L31" s="20">
        <f t="shared" si="6"/>
        <v>574.02307462500005</v>
      </c>
      <c r="M31" s="20">
        <f t="shared" si="6"/>
        <v>1093.9239736425002</v>
      </c>
      <c r="N31" s="20">
        <f t="shared" si="6"/>
        <v>1244.8100389725005</v>
      </c>
      <c r="O31" s="20">
        <f>O16-O29</f>
        <v>1275.3991709968514</v>
      </c>
      <c r="P31" s="20"/>
      <c r="Q31" s="8"/>
      <c r="R31" s="48" t="s">
        <v>57</v>
      </c>
      <c r="S31" s="48"/>
    </row>
    <row r="32" spans="1:19" x14ac:dyDescent="0.2">
      <c r="A32" t="s">
        <v>36</v>
      </c>
      <c r="O32" s="39">
        <v>2.8000000000000001E-2</v>
      </c>
      <c r="P32" s="5"/>
      <c r="Q32" s="5"/>
      <c r="R32" s="29" t="s">
        <v>52</v>
      </c>
      <c r="S32" s="13" t="s">
        <v>53</v>
      </c>
    </row>
    <row r="33" spans="1:19" x14ac:dyDescent="0.2">
      <c r="A33" s="46" t="s">
        <v>39</v>
      </c>
      <c r="B33" t="s">
        <v>86</v>
      </c>
      <c r="C33" t="s">
        <v>87</v>
      </c>
      <c r="D33" s="5">
        <f>D29/D6</f>
        <v>0.33681818181818185</v>
      </c>
      <c r="E33" s="39">
        <v>0.2</v>
      </c>
      <c r="F33" s="39">
        <v>0.18</v>
      </c>
      <c r="G33" s="39">
        <v>0.16</v>
      </c>
      <c r="H33" s="39">
        <v>0.14000000000000001</v>
      </c>
      <c r="I33" s="39">
        <v>0.12</v>
      </c>
      <c r="J33" s="39">
        <v>0.1</v>
      </c>
      <c r="K33" s="39">
        <v>0.08</v>
      </c>
      <c r="L33" s="39">
        <v>0.06</v>
      </c>
      <c r="M33" s="39">
        <v>0.04</v>
      </c>
      <c r="N33" s="39">
        <v>3.5999999999999997E-2</v>
      </c>
      <c r="O33" s="5">
        <f>O29/O6</f>
        <v>3.6400000000000009E-2</v>
      </c>
      <c r="P33" s="4"/>
      <c r="Q33" s="4"/>
      <c r="R33" s="29"/>
      <c r="S33" s="13"/>
    </row>
    <row r="34" spans="1:19" x14ac:dyDescent="0.2">
      <c r="A34" t="s">
        <v>37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37">
        <v>0.12</v>
      </c>
      <c r="P34" s="4"/>
      <c r="Q34" s="4"/>
      <c r="R34" s="29" t="s">
        <v>54</v>
      </c>
      <c r="S34" s="13" t="s">
        <v>55</v>
      </c>
    </row>
    <row r="35" spans="1:19" x14ac:dyDescent="0.2">
      <c r="A35" t="s">
        <v>38</v>
      </c>
      <c r="D35" s="5"/>
      <c r="E35" s="5"/>
      <c r="F35" s="5"/>
      <c r="G35" s="5"/>
      <c r="H35" s="5">
        <f>H29/H16</f>
        <v>3.6842105263157903</v>
      </c>
      <c r="I35" s="5">
        <f t="shared" ref="I35:N35" si="7">I29/I16</f>
        <v>1.6666666666666667</v>
      </c>
      <c r="J35" s="5">
        <f t="shared" si="7"/>
        <v>1.0416666666666667</v>
      </c>
      <c r="K35" s="5">
        <f t="shared" si="7"/>
        <v>0.76923076923076916</v>
      </c>
      <c r="L35" s="5">
        <f t="shared" si="7"/>
        <v>0.46153846153846156</v>
      </c>
      <c r="M35" s="5">
        <f t="shared" si="7"/>
        <v>0.25641025641025639</v>
      </c>
      <c r="N35" s="5">
        <f t="shared" si="7"/>
        <v>0.23076923076923073</v>
      </c>
      <c r="O35" s="6">
        <f>O32/O34</f>
        <v>0.23333333333333334</v>
      </c>
      <c r="P35" s="6"/>
      <c r="Q35" s="6"/>
      <c r="R35" s="29" t="s">
        <v>56</v>
      </c>
      <c r="S35" s="33">
        <v>26</v>
      </c>
    </row>
    <row r="36" spans="1:19" x14ac:dyDescent="0.2">
      <c r="A36" t="s">
        <v>40</v>
      </c>
      <c r="D36" s="5">
        <f>R10</f>
        <v>9.7075931417119135E-2</v>
      </c>
      <c r="E36" s="5">
        <f t="shared" ref="E36:N36" si="8">D36</f>
        <v>9.7075931417119135E-2</v>
      </c>
      <c r="F36" s="5">
        <f t="shared" si="8"/>
        <v>9.7075931417119135E-2</v>
      </c>
      <c r="G36" s="5">
        <f t="shared" si="8"/>
        <v>9.7075931417119135E-2</v>
      </c>
      <c r="H36" s="5">
        <f t="shared" si="8"/>
        <v>9.7075931417119135E-2</v>
      </c>
      <c r="I36" s="5">
        <f t="shared" si="8"/>
        <v>9.7075931417119135E-2</v>
      </c>
      <c r="J36" s="5">
        <f t="shared" si="8"/>
        <v>9.7075931417119135E-2</v>
      </c>
      <c r="K36" s="5">
        <f t="shared" si="8"/>
        <v>9.7075931417119135E-2</v>
      </c>
      <c r="L36" s="5">
        <f t="shared" si="8"/>
        <v>9.7075931417119135E-2</v>
      </c>
      <c r="M36" s="5">
        <f t="shared" si="8"/>
        <v>9.7075931417119135E-2</v>
      </c>
      <c r="N36" s="5">
        <f t="shared" si="8"/>
        <v>9.7075931417119135E-2</v>
      </c>
      <c r="O36" s="5">
        <f>S10</f>
        <v>8.3799999999999999E-2</v>
      </c>
      <c r="P36" s="5"/>
      <c r="Q36" s="5"/>
      <c r="R36" s="29" t="s">
        <v>58</v>
      </c>
      <c r="S36" s="34">
        <v>44.9</v>
      </c>
    </row>
    <row r="37" spans="1:19" x14ac:dyDescent="0.2">
      <c r="A37" t="s">
        <v>42</v>
      </c>
      <c r="O37" s="23">
        <f>O31/(O36-O32)</f>
        <v>22856.615967685506</v>
      </c>
      <c r="P37" s="23"/>
      <c r="Q37" s="7"/>
      <c r="R37" s="29"/>
      <c r="S37" s="29"/>
    </row>
    <row r="38" spans="1:19" x14ac:dyDescent="0.2">
      <c r="A38" t="s">
        <v>41</v>
      </c>
      <c r="D38" s="36">
        <v>0.09</v>
      </c>
      <c r="E38" s="1">
        <f>0.5+(D38*2)</f>
        <v>0.67999999999999994</v>
      </c>
      <c r="F38" s="1">
        <f t="shared" ref="F38:N38" si="9">E38+1</f>
        <v>1.68</v>
      </c>
      <c r="G38" s="1">
        <f t="shared" si="9"/>
        <v>2.6799999999999997</v>
      </c>
      <c r="H38" s="1">
        <f t="shared" si="9"/>
        <v>3.6799999999999997</v>
      </c>
      <c r="I38" s="1">
        <f t="shared" si="9"/>
        <v>4.68</v>
      </c>
      <c r="J38" s="1">
        <f t="shared" si="9"/>
        <v>5.68</v>
      </c>
      <c r="K38" s="1">
        <f t="shared" si="9"/>
        <v>6.68</v>
      </c>
      <c r="L38" s="1">
        <f t="shared" si="9"/>
        <v>7.68</v>
      </c>
      <c r="M38" s="1">
        <f t="shared" si="9"/>
        <v>8.68</v>
      </c>
      <c r="N38" s="1">
        <f t="shared" si="9"/>
        <v>9.68</v>
      </c>
      <c r="O38" s="1">
        <f>N38+0.5</f>
        <v>10.18</v>
      </c>
      <c r="P38" s="8"/>
      <c r="Q38" s="8"/>
      <c r="R38" s="48" t="s">
        <v>61</v>
      </c>
      <c r="S38" s="48"/>
    </row>
    <row r="39" spans="1:19" x14ac:dyDescent="0.2">
      <c r="A39" t="s">
        <v>43</v>
      </c>
      <c r="D39" s="20">
        <f>D38*2*D31/(1+D36)^D38</f>
        <v>-63.690703942051854</v>
      </c>
      <c r="E39" s="20">
        <f t="shared" ref="E39:N39" si="10">E31/(1+E36)^E38</f>
        <v>-384.21532001318707</v>
      </c>
      <c r="F39" s="20">
        <f t="shared" si="10"/>
        <v>-367.72849942367372</v>
      </c>
      <c r="G39" s="20">
        <f t="shared" si="10"/>
        <v>-277.72856861450475</v>
      </c>
      <c r="H39" s="20">
        <f t="shared" si="10"/>
        <v>-225.9394636142116</v>
      </c>
      <c r="I39" s="20">
        <f t="shared" si="10"/>
        <v>-130.83689840230915</v>
      </c>
      <c r="J39" s="20">
        <f t="shared" si="10"/>
        <v>-12.919796087958984</v>
      </c>
      <c r="K39" s="20">
        <f t="shared" si="10"/>
        <v>88.324306353641475</v>
      </c>
      <c r="L39" s="20">
        <f t="shared" si="10"/>
        <v>281.78092635614365</v>
      </c>
      <c r="M39" s="20">
        <f t="shared" si="10"/>
        <v>489.47745677462842</v>
      </c>
      <c r="N39" s="20">
        <f t="shared" si="10"/>
        <v>507.70559520348195</v>
      </c>
      <c r="O39" s="20">
        <f>((O37)/(1+O36)^O38)</f>
        <v>10074.64190077145</v>
      </c>
      <c r="P39" s="20"/>
      <c r="R39" s="29" t="s">
        <v>62</v>
      </c>
      <c r="S39" s="13">
        <v>2400</v>
      </c>
    </row>
  </sheetData>
  <mergeCells count="13">
    <mergeCell ref="F1:I1"/>
    <mergeCell ref="R38:S38"/>
    <mergeCell ref="R31:S31"/>
    <mergeCell ref="R29:S29"/>
    <mergeCell ref="F19:G19"/>
    <mergeCell ref="F20:G20"/>
    <mergeCell ref="F21:G21"/>
    <mergeCell ref="F22:G22"/>
    <mergeCell ref="F23:G23"/>
    <mergeCell ref="F24:G24"/>
    <mergeCell ref="F25:G25"/>
    <mergeCell ref="F26:G26"/>
    <mergeCell ref="D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2017-10-09T23:12:13Z</dcterms:created>
  <dcterms:modified xsi:type="dcterms:W3CDTF">2018-05-27T00:35:23Z</dcterms:modified>
</cp:coreProperties>
</file>